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Massa&amp;painopiste" sheetId="1" r:id="rId1"/>
  </sheets>
  <definedNames>
    <definedName name="_xlnm.Print_Area" localSheetId="0">'Massa&amp;painopiste'!$A$1:$J$42</definedName>
  </definedNames>
  <calcPr fullCalcOnLoad="1"/>
</workbook>
</file>

<file path=xl/sharedStrings.xml><?xml version="1.0" encoding="utf-8"?>
<sst xmlns="http://schemas.openxmlformats.org/spreadsheetml/2006/main" count="82" uniqueCount="63">
  <si>
    <t>Weight</t>
  </si>
  <si>
    <t>Arm</t>
  </si>
  <si>
    <t>Moment</t>
  </si>
  <si>
    <t>Weight/Full Fuel</t>
  </si>
  <si>
    <t>Nose Weight</t>
  </si>
  <si>
    <t>Left Main Weight</t>
  </si>
  <si>
    <t>Right Main Weight</t>
  </si>
  <si>
    <t>Passenger Center</t>
  </si>
  <si>
    <t>Minus Fuel</t>
  </si>
  <si>
    <t xml:space="preserve">Empty </t>
  </si>
  <si>
    <t xml:space="preserve">Passengers Rear </t>
  </si>
  <si>
    <t>Baggage Fwd (100 lb Max)</t>
  </si>
  <si>
    <t>= Maximum Gross Weight</t>
  </si>
  <si>
    <t>= Baggage Maximum, Fwd, Aft</t>
  </si>
  <si>
    <t>= Wgt,CG 1st point in envelope</t>
  </si>
  <si>
    <t>= Wgt,CG 2nd point in envelope</t>
  </si>
  <si>
    <t>= Wgt,CG 3rd point in envelope</t>
  </si>
  <si>
    <t>= Wgt,CG 4th point in envelope</t>
  </si>
  <si>
    <t>= Aft C.G.</t>
  </si>
  <si>
    <t>= C.G. too far fwd</t>
  </si>
  <si>
    <t>max lentomassa</t>
  </si>
  <si>
    <t>kg</t>
  </si>
  <si>
    <t>max matkatavara</t>
  </si>
  <si>
    <t>max polttoaine</t>
  </si>
  <si>
    <t>litraa</t>
  </si>
  <si>
    <t>painopistealue</t>
  </si>
  <si>
    <t>eturaja suora kohta</t>
  </si>
  <si>
    <t>mm</t>
  </si>
  <si>
    <t>eturaja max massalla</t>
  </si>
  <si>
    <t>eturajan suoran osan max massa</t>
  </si>
  <si>
    <t>takaraja</t>
  </si>
  <si>
    <t>täytä keltaiset ruudut</t>
  </si>
  <si>
    <t>envelope</t>
  </si>
  <si>
    <t>= Fuel Min l, Max l</t>
  </si>
  <si>
    <t>=C.G too far aft</t>
  </si>
  <si>
    <t xml:space="preserve"> = max frnt CG</t>
  </si>
  <si>
    <t>takaraja ylitetty</t>
  </si>
  <si>
    <t>eturaja ylitetty</t>
  </si>
  <si>
    <t>vihreä suora</t>
  </si>
  <si>
    <t>a</t>
  </si>
  <si>
    <t>b</t>
  </si>
  <si>
    <t>c</t>
  </si>
  <si>
    <t>punainen suora</t>
  </si>
  <si>
    <t>ratkaisu</t>
  </si>
  <si>
    <t>massa</t>
  </si>
  <si>
    <t>pp asema</t>
  </si>
  <si>
    <t>ppase</t>
  </si>
  <si>
    <t>välissä</t>
  </si>
  <si>
    <t>full F ulkona</t>
  </si>
  <si>
    <t>1 st segmentti</t>
  </si>
  <si>
    <t>pp edessä</t>
  </si>
  <si>
    <t>= CG 1st segmentti</t>
  </si>
  <si>
    <t>2 nd segmentti</t>
  </si>
  <si>
    <t>= CG 2st segmentti</t>
  </si>
  <si>
    <t>Perusmassa</t>
  </si>
  <si>
    <t>Ohjaaja</t>
  </si>
  <si>
    <t>Matkustaja</t>
  </si>
  <si>
    <t>Cessna C-150</t>
  </si>
  <si>
    <t>kilot</t>
  </si>
  <si>
    <t>varsi</t>
  </si>
  <si>
    <t>momentti</t>
  </si>
  <si>
    <t>Yhteensä</t>
  </si>
  <si>
    <t>litrat</t>
  </si>
</sst>
</file>

<file path=xl/styles.xml><?xml version="1.0" encoding="utf-8"?>
<styleSheet xmlns="http://schemas.openxmlformats.org/spreadsheetml/2006/main">
  <numFmts count="2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;\(0\)"/>
    <numFmt numFmtId="173" formatCode="0;\(0\);"/>
    <numFmt numFmtId="174" formatCode="0.00;\(0.00\);"/>
    <numFmt numFmtId="175" formatCode="#,##0_);\(#,##0\);"/>
    <numFmt numFmtId="176" formatCode="#,##0_);\(#,##0.0\);"/>
    <numFmt numFmtId="177" formatCode="#,##0_);\(#,##0.00\);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7"/>
      <name val="Arial"/>
      <family val="2"/>
    </font>
    <font>
      <sz val="8"/>
      <color indexed="14"/>
      <name val="Arial"/>
      <family val="2"/>
    </font>
    <font>
      <sz val="8"/>
      <color indexed="21"/>
      <name val="Arial"/>
      <family val="2"/>
    </font>
    <font>
      <sz val="8"/>
      <color indexed="16"/>
      <name val="Arial"/>
      <family val="2"/>
    </font>
    <font>
      <sz val="8"/>
      <color indexed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Arial"/>
      <family val="2"/>
    </font>
    <font>
      <sz val="8"/>
      <color indexed="37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MS Sans Serif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16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8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6" fillId="0" borderId="0" xfId="0" applyFont="1" applyAlignment="1" applyProtection="1" quotePrefix="1">
      <alignment/>
      <protection/>
    </xf>
    <xf numFmtId="1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173" fontId="6" fillId="0" borderId="0" xfId="0" applyNumberFormat="1" applyFont="1" applyAlignment="1" applyProtection="1">
      <alignment/>
      <protection/>
    </xf>
    <xf numFmtId="173" fontId="6" fillId="0" borderId="2" xfId="0" applyNumberFormat="1" applyFont="1" applyBorder="1" applyAlignment="1" applyProtection="1">
      <alignment horizontal="left"/>
      <protection/>
    </xf>
    <xf numFmtId="173" fontId="6" fillId="0" borderId="0" xfId="0" applyNumberFormat="1" applyFont="1" applyBorder="1" applyAlignment="1" applyProtection="1">
      <alignment horizontal="left"/>
      <protection/>
    </xf>
    <xf numFmtId="173" fontId="6" fillId="0" borderId="2" xfId="0" applyNumberFormat="1" applyFont="1" applyBorder="1" applyAlignment="1" applyProtection="1">
      <alignment/>
      <protection/>
    </xf>
    <xf numFmtId="174" fontId="6" fillId="0" borderId="2" xfId="0" applyNumberFormat="1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173" fontId="8" fillId="0" borderId="3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173" fontId="9" fillId="0" borderId="3" xfId="0" applyNumberFormat="1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173" fontId="16" fillId="0" borderId="3" xfId="0" applyNumberFormat="1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8" fillId="0" borderId="3" xfId="0" applyNumberFormat="1" applyFont="1" applyBorder="1" applyAlignment="1" applyProtection="1">
      <alignment/>
      <protection/>
    </xf>
    <xf numFmtId="176" fontId="9" fillId="0" borderId="3" xfId="0" applyNumberFormat="1" applyFont="1" applyBorder="1" applyAlignment="1" applyProtection="1">
      <alignment/>
      <protection/>
    </xf>
    <xf numFmtId="176" fontId="16" fillId="0" borderId="3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7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178" fontId="6" fillId="0" borderId="5" xfId="0" applyNumberFormat="1" applyFont="1" applyBorder="1" applyAlignment="1" applyProtection="1">
      <alignment/>
      <protection/>
    </xf>
    <xf numFmtId="178" fontId="6" fillId="0" borderId="7" xfId="0" applyNumberFormat="1" applyFont="1" applyBorder="1" applyAlignment="1" applyProtection="1">
      <alignment/>
      <protection/>
    </xf>
    <xf numFmtId="178" fontId="6" fillId="0" borderId="9" xfId="0" applyNumberFormat="1" applyFont="1" applyBorder="1" applyAlignment="1" applyProtection="1">
      <alignment/>
      <protection/>
    </xf>
    <xf numFmtId="0" fontId="17" fillId="0" borderId="3" xfId="0" applyFont="1" applyBorder="1" applyAlignment="1" applyProtection="1">
      <alignment/>
      <protection/>
    </xf>
    <xf numFmtId="173" fontId="17" fillId="0" borderId="3" xfId="0" applyNumberFormat="1" applyFont="1" applyBorder="1" applyAlignment="1" applyProtection="1">
      <alignment/>
      <protection/>
    </xf>
    <xf numFmtId="176" fontId="17" fillId="0" borderId="3" xfId="0" applyNumberFormat="1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173" fontId="20" fillId="0" borderId="11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/>
      <protection/>
    </xf>
    <xf numFmtId="178" fontId="21" fillId="0" borderId="7" xfId="0" applyNumberFormat="1" applyFont="1" applyBorder="1" applyAlignment="1" applyProtection="1">
      <alignment/>
      <protection/>
    </xf>
    <xf numFmtId="0" fontId="21" fillId="0" borderId="8" xfId="0" applyFont="1" applyBorder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" fontId="6" fillId="0" borderId="6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4" xfId="0" applyFont="1" applyBorder="1" applyAlignment="1" applyProtection="1">
      <alignment/>
      <protection/>
    </xf>
    <xf numFmtId="173" fontId="25" fillId="0" borderId="4" xfId="0" applyNumberFormat="1" applyFont="1" applyBorder="1" applyAlignment="1" applyProtection="1">
      <alignment/>
      <protection/>
    </xf>
    <xf numFmtId="2" fontId="25" fillId="0" borderId="3" xfId="0" applyNumberFormat="1" applyFont="1" applyBorder="1" applyAlignment="1" applyProtection="1">
      <alignment/>
      <protection/>
    </xf>
    <xf numFmtId="0" fontId="27" fillId="0" borderId="3" xfId="0" applyFont="1" applyBorder="1" applyAlignment="1" applyProtection="1">
      <alignment/>
      <protection/>
    </xf>
    <xf numFmtId="173" fontId="27" fillId="0" borderId="3" xfId="0" applyNumberFormat="1" applyFont="1" applyBorder="1" applyAlignment="1" applyProtection="1">
      <alignment/>
      <protection/>
    </xf>
    <xf numFmtId="2" fontId="27" fillId="0" borderId="3" xfId="0" applyNumberFormat="1" applyFont="1" applyBorder="1" applyAlignment="1" applyProtection="1">
      <alignment/>
      <protection/>
    </xf>
    <xf numFmtId="173" fontId="25" fillId="2" borderId="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20" fillId="2" borderId="3" xfId="0" applyNumberFormat="1" applyFont="1" applyFill="1" applyBorder="1" applyAlignment="1" applyProtection="1">
      <alignment/>
      <protection locked="0"/>
    </xf>
    <xf numFmtId="2" fontId="17" fillId="2" borderId="3" xfId="0" applyNumberFormat="1" applyFont="1" applyFill="1" applyBorder="1" applyAlignment="1" applyProtection="1">
      <alignment/>
      <protection locked="0"/>
    </xf>
    <xf numFmtId="2" fontId="9" fillId="2" borderId="3" xfId="0" applyNumberFormat="1" applyFont="1" applyFill="1" applyBorder="1" applyAlignment="1" applyProtection="1">
      <alignment/>
      <protection locked="0"/>
    </xf>
    <xf numFmtId="2" fontId="27" fillId="2" borderId="3" xfId="0" applyNumberFormat="1" applyFont="1" applyFill="1" applyBorder="1" applyAlignment="1" applyProtection="1">
      <alignment/>
      <protection locked="0"/>
    </xf>
    <xf numFmtId="2" fontId="25" fillId="2" borderId="3" xfId="0" applyNumberFormat="1" applyFont="1" applyFill="1" applyBorder="1" applyAlignment="1" applyProtection="1">
      <alignment/>
      <protection locked="0"/>
    </xf>
    <xf numFmtId="173" fontId="20" fillId="2" borderId="11" xfId="0" applyNumberFormat="1" applyFont="1" applyFill="1" applyBorder="1" applyAlignment="1" applyProtection="1">
      <alignment/>
      <protection locked="0"/>
    </xf>
    <xf numFmtId="173" fontId="17" fillId="2" borderId="3" xfId="0" applyNumberFormat="1" applyFont="1" applyFill="1" applyBorder="1" applyAlignment="1" applyProtection="1">
      <alignment/>
      <protection locked="0"/>
    </xf>
    <xf numFmtId="173" fontId="8" fillId="2" borderId="3" xfId="0" applyNumberFormat="1" applyFont="1" applyFill="1" applyBorder="1" applyAlignment="1" applyProtection="1">
      <alignment/>
      <protection locked="0"/>
    </xf>
    <xf numFmtId="173" fontId="9" fillId="2" borderId="3" xfId="0" applyNumberFormat="1" applyFont="1" applyFill="1" applyBorder="1" applyAlignment="1" applyProtection="1">
      <alignment/>
      <protection locked="0"/>
    </xf>
    <xf numFmtId="173" fontId="16" fillId="2" borderId="3" xfId="0" applyNumberFormat="1" applyFont="1" applyFill="1" applyBorder="1" applyAlignment="1" applyProtection="1">
      <alignment/>
      <protection locked="0"/>
    </xf>
    <xf numFmtId="173" fontId="27" fillId="2" borderId="3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MS Sans Serif"/>
                <a:ea typeface="MS Sans Serif"/>
                <a:cs typeface="MS Sans Serif"/>
              </a:rPr>
              <a:t>painopisteen muutos</a:t>
            </a:r>
          </a:p>
        </c:rich>
      </c:tx>
      <c:layout>
        <c:manualLayout>
          <c:xMode val="factor"/>
          <c:yMode val="factor"/>
          <c:x val="-0.027"/>
          <c:y val="0.87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"/>
          <c:w val="0.93725"/>
          <c:h val="0.776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'Massa&amp;painopiste'!$R$6:$R$12</c:f>
            </c:numRef>
          </c:xVal>
          <c:yVal>
            <c:numRef>
              <c:f>'Massa&amp;painopiste'!$Q$6:$Q$12</c:f>
            </c:numRef>
          </c:yVal>
          <c:smooth val="0"/>
        </c:ser>
        <c:ser>
          <c:idx val="1"/>
          <c:order val="1"/>
          <c:tx>
            <c:v>Fuel, Gear Retraction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'Massa&amp;painopiste'!$N$14:$N$18</c:f>
            </c:numRef>
          </c:xVal>
          <c:yVal>
            <c:numRef>
              <c:f>'Massa&amp;painopiste'!$M$14:$M$18</c:f>
            </c:numRef>
          </c:yVal>
          <c:smooth val="0"/>
        </c:ser>
        <c:ser>
          <c:idx val="2"/>
          <c:order val="2"/>
          <c:tx>
            <c:v>Basic Empty Weight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'Massa&amp;painopiste'!$N$5:$N$6</c:f>
            </c:numRef>
          </c:xVal>
          <c:yVal>
            <c:numRef>
              <c:f>'Massa&amp;painopiste'!$M$5:$M$6</c:f>
            </c:numRef>
          </c:yVal>
          <c:smooth val="0"/>
        </c:ser>
        <c:ser>
          <c:idx val="3"/>
          <c:order val="3"/>
          <c:tx>
            <c:v>Pilot, Co-Pilot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'Massa&amp;painopiste'!$N$6:$N$8</c:f>
            </c:numRef>
          </c:xVal>
          <c:yVal>
            <c:numRef>
              <c:f>'Massa&amp;painopiste'!$M$6:$M$8</c:f>
            </c:numRef>
          </c:yVal>
          <c:smooth val="0"/>
        </c:ser>
        <c:ser>
          <c:idx val="4"/>
          <c:order val="4"/>
          <c:tx>
            <c:v>Passengers AFt Facing Center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'Massa&amp;painopiste'!$N$8:$N$10</c:f>
            </c:numRef>
          </c:xVal>
          <c:yVal>
            <c:numRef>
              <c:f>'Massa&amp;painopiste'!$M$8:$M$10</c:f>
            </c:numRef>
          </c:yVal>
          <c:smooth val="0"/>
        </c:ser>
        <c:ser>
          <c:idx val="5"/>
          <c:order val="5"/>
          <c:tx>
            <c:v>Passengers Rear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'Massa&amp;painopiste'!$N$10:$N$12</c:f>
            </c:numRef>
          </c:xVal>
          <c:yVal>
            <c:numRef>
              <c:f>'Massa&amp;painopiste'!$M$10:$M$12</c:f>
            </c:numRef>
          </c:yVal>
          <c:smooth val="0"/>
        </c:ser>
        <c:ser>
          <c:idx val="6"/>
          <c:order val="6"/>
          <c:tx>
            <c:v>Baggage Forward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'Massa&amp;painopiste'!$N$12:$N$13</c:f>
            </c:numRef>
          </c:xVal>
          <c:yVal>
            <c:numRef>
              <c:f>'Massa&amp;painopiste'!$M$12:$M$13</c:f>
            </c:numRef>
          </c:yVal>
          <c:smooth val="0"/>
        </c:ser>
        <c:ser>
          <c:idx val="7"/>
          <c:order val="7"/>
          <c:tx>
            <c:v>Baggage Aft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'Massa&amp;painopiste'!$N$13:$N$14</c:f>
            </c:numRef>
          </c:xVal>
          <c:yVal>
            <c:numRef>
              <c:f>'Massa&amp;painopiste'!$M$13:$M$14</c:f>
            </c:numRef>
          </c:yVal>
          <c:smooth val="0"/>
        </c:ser>
        <c:axId val="56039890"/>
        <c:axId val="34596963"/>
      </c:scatterChart>
      <c:valAx>
        <c:axId val="56039890"/>
        <c:scaling>
          <c:orientation val="minMax"/>
          <c:max val="0.95"/>
          <c:min val="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P.P. paikka (metriä perustasosta)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596963"/>
        <c:crossesAt val="77"/>
        <c:crossBetween val="midCat"/>
        <c:dispUnits/>
        <c:majorUnit val="0.05"/>
        <c:minorUnit val="0.02"/>
      </c:valAx>
      <c:valAx>
        <c:axId val="34596963"/>
        <c:scaling>
          <c:orientation val="minMax"/>
          <c:max val="8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Lentomassa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039890"/>
        <c:crossesAt val="76"/>
        <c:crossBetween val="midCat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2857500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38100" y="38100"/>
        <a:ext cx="28194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40</xdr:row>
      <xdr:rowOff>47625</xdr:rowOff>
    </xdr:from>
    <xdr:to>
      <xdr:col>1</xdr:col>
      <xdr:colOff>38100</xdr:colOff>
      <xdr:row>43</xdr:row>
      <xdr:rowOff>66675</xdr:rowOff>
    </xdr:to>
    <xdr:sp>
      <xdr:nvSpPr>
        <xdr:cNvPr id="2" name="TextBox 230"/>
        <xdr:cNvSpPr txBox="1">
          <a:spLocks noChangeArrowheads="1"/>
        </xdr:cNvSpPr>
      </xdr:nvSpPr>
      <xdr:spPr>
        <a:xfrm>
          <a:off x="209550" y="5067300"/>
          <a:ext cx="27051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MS Sans Serif"/>
              <a:ea typeface="MS Sans Serif"/>
              <a:cs typeface="MS Sans Serif"/>
            </a:rPr>
            <a:t>Jos graafissa asteikot ovat väärin. Poista taulukon suojaus (ei salasanaa) ja muuta asteikon min/max asetukset klikkaamalla asteikkoa ja muuttamalla asetusta.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GridLines="0" showRowColHeaders="0" tabSelected="1" showOutlineSymbols="0" zoomScale="125" zoomScaleNormal="125" workbookViewId="0" topLeftCell="A21">
      <selection activeCell="B43" sqref="B43"/>
    </sheetView>
  </sheetViews>
  <sheetFormatPr defaultColWidth="9.140625" defaultRowHeight="12.75"/>
  <cols>
    <col min="1" max="1" width="43.140625" style="2" customWidth="1"/>
    <col min="2" max="2" width="22.7109375" style="2" customWidth="1"/>
    <col min="3" max="3" width="0.2890625" style="2" customWidth="1"/>
    <col min="4" max="4" width="4.421875" style="2" customWidth="1"/>
    <col min="5" max="5" width="0.2890625" style="2" customWidth="1"/>
    <col min="6" max="6" width="6.421875" style="2" customWidth="1"/>
    <col min="7" max="7" width="0.2890625" style="2" customWidth="1"/>
    <col min="8" max="8" width="5.7109375" style="2" customWidth="1"/>
    <col min="9" max="9" width="0.2890625" style="2" customWidth="1"/>
    <col min="10" max="10" width="7.57421875" style="2" customWidth="1"/>
    <col min="11" max="11" width="2.57421875" style="2" customWidth="1"/>
    <col min="12" max="12" width="3.00390625" style="2" customWidth="1"/>
    <col min="13" max="13" width="6.57421875" style="2" hidden="1" customWidth="1"/>
    <col min="14" max="14" width="8.8515625" style="2" hidden="1" customWidth="1"/>
    <col min="15" max="16" width="8.28125" style="2" hidden="1" customWidth="1"/>
    <col min="17" max="17" width="5.57421875" style="2" hidden="1" customWidth="1"/>
    <col min="18" max="19" width="4.421875" style="2" hidden="1" customWidth="1"/>
    <col min="20" max="20" width="2.7109375" style="2" hidden="1" customWidth="1"/>
    <col min="21" max="21" width="0" style="2" hidden="1" customWidth="1"/>
    <col min="22" max="22" width="14.8515625" style="2" hidden="1" customWidth="1"/>
    <col min="23" max="23" width="0" style="2" hidden="1" customWidth="1"/>
    <col min="24" max="24" width="10.00390625" style="2" hidden="1" customWidth="1"/>
    <col min="25" max="29" width="0" style="2" hidden="1" customWidth="1"/>
    <col min="30" max="16384" width="9.140625" style="2" customWidth="1"/>
  </cols>
  <sheetData>
    <row r="1" spans="1:10" ht="18">
      <c r="A1" s="1"/>
      <c r="B1" s="1"/>
      <c r="C1" s="1"/>
      <c r="D1" s="1"/>
      <c r="E1" s="88" t="s">
        <v>57</v>
      </c>
      <c r="F1" s="76"/>
      <c r="G1" s="76"/>
      <c r="H1" s="1"/>
      <c r="I1" s="1"/>
      <c r="J1" s="1"/>
    </row>
    <row r="2" spans="1:10" ht="7.5" customHeight="1">
      <c r="A2" s="1"/>
      <c r="B2" s="1"/>
      <c r="C2" s="1"/>
      <c r="D2" s="1"/>
      <c r="E2" s="18"/>
      <c r="F2" s="76"/>
      <c r="G2" s="76"/>
      <c r="H2" s="1"/>
      <c r="I2" s="1"/>
      <c r="J2" s="1"/>
    </row>
    <row r="3" spans="1:13" ht="9.75" customHeight="1">
      <c r="A3" s="1"/>
      <c r="B3" s="1"/>
      <c r="C3" s="1"/>
      <c r="D3" s="1"/>
      <c r="E3" s="19"/>
      <c r="F3" s="76"/>
      <c r="G3" s="76"/>
      <c r="H3" s="1"/>
      <c r="I3" s="1"/>
      <c r="J3" s="1"/>
      <c r="M3" s="2" t="s">
        <v>21</v>
      </c>
    </row>
    <row r="4" spans="1:17" ht="11.25">
      <c r="A4" s="1"/>
      <c r="B4" s="1"/>
      <c r="C4" s="1"/>
      <c r="D4" s="1"/>
      <c r="E4" s="1"/>
      <c r="F4" s="1"/>
      <c r="G4" s="1"/>
      <c r="H4" s="1"/>
      <c r="I4" s="1"/>
      <c r="J4" s="1"/>
      <c r="Q4" s="2" t="s">
        <v>32</v>
      </c>
    </row>
    <row r="5" spans="2:25" ht="11.25">
      <c r="B5" s="3"/>
      <c r="C5" s="3"/>
      <c r="D5" s="13" t="s">
        <v>62</v>
      </c>
      <c r="F5" s="13" t="s">
        <v>58</v>
      </c>
      <c r="G5" s="14"/>
      <c r="H5" s="13" t="s">
        <v>59</v>
      </c>
      <c r="I5" s="14"/>
      <c r="J5" s="13" t="s">
        <v>60</v>
      </c>
      <c r="K5" s="4"/>
      <c r="L5" s="4"/>
      <c r="M5" s="5">
        <v>516</v>
      </c>
      <c r="N5" s="5">
        <f>N6</f>
        <v>0.76</v>
      </c>
      <c r="V5" s="3" t="s">
        <v>3</v>
      </c>
      <c r="W5" s="20" t="s">
        <v>0</v>
      </c>
      <c r="X5" s="20" t="s">
        <v>1</v>
      </c>
      <c r="Y5" s="20" t="s">
        <v>2</v>
      </c>
    </row>
    <row r="6" spans="2:25" ht="11.25">
      <c r="B6" s="56" t="s">
        <v>54</v>
      </c>
      <c r="C6" s="56"/>
      <c r="D6" s="57"/>
      <c r="E6" s="57"/>
      <c r="F6" s="82">
        <v>516</v>
      </c>
      <c r="G6" s="57"/>
      <c r="H6" s="77">
        <v>0.76</v>
      </c>
      <c r="I6" s="57"/>
      <c r="J6" s="58">
        <f>H6*F6</f>
        <v>392.16</v>
      </c>
      <c r="K6" s="5"/>
      <c r="L6" s="5"/>
      <c r="M6" s="2">
        <f>F6</f>
        <v>516</v>
      </c>
      <c r="N6" s="5">
        <f aca="true" t="shared" si="0" ref="N6:N15">O6/M6</f>
        <v>0.76</v>
      </c>
      <c r="O6" s="5">
        <f>J6</f>
        <v>392.16</v>
      </c>
      <c r="P6" s="5"/>
      <c r="Q6" s="50">
        <f>D6</f>
        <v>0</v>
      </c>
      <c r="R6" s="40">
        <f>R7</f>
        <v>0.79</v>
      </c>
      <c r="S6" s="2">
        <v>1400</v>
      </c>
      <c r="T6" s="2">
        <v>74</v>
      </c>
      <c r="V6" s="2" t="s">
        <v>4</v>
      </c>
      <c r="W6" s="2">
        <v>695</v>
      </c>
      <c r="X6" s="2">
        <v>14.2</v>
      </c>
      <c r="Y6" s="2">
        <f>W6*X6</f>
        <v>9869</v>
      </c>
    </row>
    <row r="7" spans="2:25" ht="11.25">
      <c r="B7" s="53" t="s">
        <v>55</v>
      </c>
      <c r="C7" s="53"/>
      <c r="D7" s="54"/>
      <c r="E7" s="54"/>
      <c r="F7" s="83">
        <v>80</v>
      </c>
      <c r="G7" s="54"/>
      <c r="H7" s="78">
        <v>0.99</v>
      </c>
      <c r="I7" s="54"/>
      <c r="J7" s="55">
        <f aca="true" t="shared" si="1" ref="J7:J14">F7*H7</f>
        <v>79.2</v>
      </c>
      <c r="K7" s="6"/>
      <c r="L7" s="6"/>
      <c r="M7" s="2">
        <f aca="true" t="shared" si="2" ref="M7:M15">F7+M6</f>
        <v>596</v>
      </c>
      <c r="N7" s="5">
        <f t="shared" si="0"/>
        <v>0.7908724832214765</v>
      </c>
      <c r="O7" s="5">
        <f aca="true" t="shared" si="3" ref="O7:O15">J7+O6</f>
        <v>471.36</v>
      </c>
      <c r="P7" s="5"/>
      <c r="Q7" s="59">
        <f>D35</f>
        <v>612.4</v>
      </c>
      <c r="R7" s="60">
        <f>D33*0.001</f>
        <v>0.79</v>
      </c>
      <c r="S7" s="2">
        <v>1800</v>
      </c>
      <c r="T7" s="2">
        <v>76</v>
      </c>
      <c r="V7" s="2" t="s">
        <v>5</v>
      </c>
      <c r="W7" s="2">
        <v>1117</v>
      </c>
      <c r="X7" s="2">
        <v>109.7</v>
      </c>
      <c r="Y7" s="2">
        <f>W7*X7</f>
        <v>122534.90000000001</v>
      </c>
    </row>
    <row r="8" spans="2:25" ht="11.25">
      <c r="B8" s="53" t="s">
        <v>56</v>
      </c>
      <c r="C8" s="53"/>
      <c r="D8" s="54"/>
      <c r="E8" s="54"/>
      <c r="F8" s="83">
        <v>80</v>
      </c>
      <c r="G8" s="54"/>
      <c r="H8" s="78">
        <v>0.99</v>
      </c>
      <c r="I8" s="54"/>
      <c r="J8" s="55">
        <f t="shared" si="1"/>
        <v>79.2</v>
      </c>
      <c r="K8" s="6"/>
      <c r="L8" s="6"/>
      <c r="M8" s="2">
        <f t="shared" si="2"/>
        <v>676</v>
      </c>
      <c r="N8" s="5">
        <f t="shared" si="0"/>
        <v>0.8144378698224853</v>
      </c>
      <c r="O8" s="5">
        <f t="shared" si="3"/>
        <v>550.5600000000001</v>
      </c>
      <c r="P8" s="5"/>
      <c r="Q8" s="44">
        <f>(Q7+Q9)/2</f>
        <v>684.95</v>
      </c>
      <c r="R8" s="44">
        <f>(R7+R9)/2</f>
        <v>0.81</v>
      </c>
      <c r="S8" s="2">
        <v>2200</v>
      </c>
      <c r="T8" s="2">
        <v>78</v>
      </c>
      <c r="V8" s="2" t="s">
        <v>6</v>
      </c>
      <c r="W8" s="2">
        <v>1073</v>
      </c>
      <c r="X8" s="2">
        <v>109.7</v>
      </c>
      <c r="Y8" s="2">
        <f>W8*X8</f>
        <v>117708.1</v>
      </c>
    </row>
    <row r="9" spans="2:25" ht="11.25" hidden="1">
      <c r="B9" s="26" t="s">
        <v>7</v>
      </c>
      <c r="C9" s="26"/>
      <c r="D9" s="27"/>
      <c r="E9" s="27"/>
      <c r="F9" s="84">
        <f>D9</f>
        <v>0</v>
      </c>
      <c r="G9" s="27"/>
      <c r="H9" s="79">
        <v>119.1</v>
      </c>
      <c r="I9" s="27"/>
      <c r="J9" s="33">
        <f t="shared" si="1"/>
        <v>0</v>
      </c>
      <c r="K9" s="7"/>
      <c r="L9" s="7"/>
      <c r="M9" s="2">
        <f t="shared" si="2"/>
        <v>676</v>
      </c>
      <c r="N9" s="5">
        <f t="shared" si="0"/>
        <v>0.8144378698224853</v>
      </c>
      <c r="O9" s="5">
        <f t="shared" si="3"/>
        <v>550.5600000000001</v>
      </c>
      <c r="P9" s="5"/>
      <c r="Q9" s="59">
        <f>D29</f>
        <v>757.5</v>
      </c>
      <c r="R9" s="60">
        <f>D34*0.001</f>
        <v>0.8300000000000001</v>
      </c>
      <c r="S9" s="2">
        <v>2600</v>
      </c>
      <c r="T9" s="2">
        <v>80</v>
      </c>
      <c r="V9" s="2" t="s">
        <v>8</v>
      </c>
      <c r="W9" s="2">
        <f>102*-6</f>
        <v>-612</v>
      </c>
      <c r="X9" s="5">
        <f>H15</f>
        <v>1.07</v>
      </c>
      <c r="Y9" s="2">
        <f>W9*X9</f>
        <v>-654.84</v>
      </c>
    </row>
    <row r="10" spans="2:25" ht="11.25" hidden="1">
      <c r="B10" s="26" t="s">
        <v>7</v>
      </c>
      <c r="C10" s="26"/>
      <c r="D10" s="27"/>
      <c r="E10" s="27"/>
      <c r="F10" s="84">
        <f>D10</f>
        <v>0</v>
      </c>
      <c r="G10" s="27"/>
      <c r="H10" s="79">
        <v>119.1</v>
      </c>
      <c r="I10" s="27"/>
      <c r="J10" s="33">
        <f t="shared" si="1"/>
        <v>0</v>
      </c>
      <c r="K10" s="7"/>
      <c r="L10" s="7"/>
      <c r="M10" s="2">
        <f t="shared" si="2"/>
        <v>676</v>
      </c>
      <c r="N10" s="5">
        <f t="shared" si="0"/>
        <v>0.8144378698224853</v>
      </c>
      <c r="O10" s="5">
        <f t="shared" si="3"/>
        <v>550.5600000000001</v>
      </c>
      <c r="P10" s="5"/>
      <c r="Q10" s="51">
        <f>Q9</f>
        <v>757.5</v>
      </c>
      <c r="R10" s="44">
        <f>(R9+R11)/2</f>
        <v>0.8800000000000001</v>
      </c>
      <c r="S10" s="2">
        <v>3000</v>
      </c>
      <c r="T10" s="2">
        <v>82</v>
      </c>
      <c r="V10" s="2" t="s">
        <v>9</v>
      </c>
      <c r="W10" s="2">
        <f>SUM(W6:W9)</f>
        <v>2273</v>
      </c>
      <c r="X10" s="5">
        <f>Y10/W10</f>
        <v>109.74798064232293</v>
      </c>
      <c r="Y10" s="2">
        <f>SUM(Y6:Y9)</f>
        <v>249457.16000000003</v>
      </c>
    </row>
    <row r="11" spans="2:20" ht="11.25" hidden="1">
      <c r="B11" s="28" t="s">
        <v>10</v>
      </c>
      <c r="C11" s="28"/>
      <c r="D11" s="29"/>
      <c r="E11" s="29"/>
      <c r="F11" s="85">
        <f>D11</f>
        <v>0</v>
      </c>
      <c r="G11" s="29"/>
      <c r="H11" s="79">
        <v>157.6</v>
      </c>
      <c r="I11" s="29"/>
      <c r="J11" s="34">
        <f t="shared" si="1"/>
        <v>0</v>
      </c>
      <c r="K11" s="8"/>
      <c r="L11" s="8"/>
      <c r="M11" s="2">
        <f t="shared" si="2"/>
        <v>676</v>
      </c>
      <c r="N11" s="5">
        <f t="shared" si="0"/>
        <v>0.8144378698224853</v>
      </c>
      <c r="O11" s="5">
        <f t="shared" si="3"/>
        <v>550.5600000000001</v>
      </c>
      <c r="P11" s="5"/>
      <c r="Q11" s="51">
        <f>Q9</f>
        <v>757.5</v>
      </c>
      <c r="R11" s="44">
        <f>D36*0.001</f>
        <v>0.93</v>
      </c>
      <c r="S11" s="2">
        <v>3400</v>
      </c>
      <c r="T11" s="2">
        <v>84</v>
      </c>
    </row>
    <row r="12" spans="2:20" ht="11.25" hidden="1">
      <c r="B12" s="28" t="s">
        <v>10</v>
      </c>
      <c r="C12" s="28"/>
      <c r="D12" s="29"/>
      <c r="E12" s="29"/>
      <c r="F12" s="85">
        <f>D12</f>
        <v>0</v>
      </c>
      <c r="G12" s="29"/>
      <c r="H12" s="79">
        <v>157.6</v>
      </c>
      <c r="I12" s="29"/>
      <c r="J12" s="34">
        <f t="shared" si="1"/>
        <v>0</v>
      </c>
      <c r="K12" s="8"/>
      <c r="L12" s="8"/>
      <c r="M12" s="2">
        <f t="shared" si="2"/>
        <v>676</v>
      </c>
      <c r="N12" s="5">
        <f t="shared" si="0"/>
        <v>0.8144378698224853</v>
      </c>
      <c r="O12" s="5">
        <f t="shared" si="3"/>
        <v>550.5600000000001</v>
      </c>
      <c r="P12" s="5"/>
      <c r="Q12" s="52">
        <f>Q6</f>
        <v>0</v>
      </c>
      <c r="R12" s="47">
        <f>R11</f>
        <v>0.93</v>
      </c>
      <c r="S12" s="2">
        <v>3800</v>
      </c>
      <c r="T12" s="2">
        <v>86</v>
      </c>
    </row>
    <row r="13" spans="2:20" ht="11.25" hidden="1">
      <c r="B13" s="30" t="s">
        <v>11</v>
      </c>
      <c r="C13" s="30"/>
      <c r="D13" s="31"/>
      <c r="E13" s="31"/>
      <c r="F13" s="86">
        <f>D13</f>
        <v>0</v>
      </c>
      <c r="G13" s="31"/>
      <c r="H13" s="79">
        <v>42</v>
      </c>
      <c r="I13" s="31"/>
      <c r="J13" s="35">
        <f t="shared" si="1"/>
        <v>0</v>
      </c>
      <c r="K13" s="9"/>
      <c r="L13" s="9"/>
      <c r="M13" s="2">
        <f t="shared" si="2"/>
        <v>676</v>
      </c>
      <c r="N13" s="5">
        <f t="shared" si="0"/>
        <v>0.8144378698224853</v>
      </c>
      <c r="O13" s="5">
        <f t="shared" si="3"/>
        <v>550.5600000000001</v>
      </c>
      <c r="P13" s="5"/>
      <c r="T13" s="2">
        <v>88</v>
      </c>
    </row>
    <row r="14" spans="2:20" ht="11.25">
      <c r="B14" s="72" t="str">
        <f>CONCATENATE("matkatavara (",VALUE(D30)," kg Max)")</f>
        <v>matkatavara (18 kg Max)</v>
      </c>
      <c r="C14" s="72"/>
      <c r="D14" s="73"/>
      <c r="E14" s="73"/>
      <c r="F14" s="87">
        <v>15</v>
      </c>
      <c r="G14" s="73"/>
      <c r="H14" s="80">
        <v>1.63</v>
      </c>
      <c r="I14" s="73"/>
      <c r="J14" s="74">
        <f t="shared" si="1"/>
        <v>24.45</v>
      </c>
      <c r="K14" s="10"/>
      <c r="L14" s="10"/>
      <c r="M14" s="63">
        <f t="shared" si="2"/>
        <v>691</v>
      </c>
      <c r="N14" s="64">
        <f t="shared" si="0"/>
        <v>0.8321418234442838</v>
      </c>
      <c r="O14" s="5">
        <f t="shared" si="3"/>
        <v>575.0100000000001</v>
      </c>
      <c r="P14" s="5"/>
      <c r="T14" s="2">
        <v>90</v>
      </c>
    </row>
    <row r="15" spans="2:20" ht="11.25">
      <c r="B15" s="69" t="str">
        <f>CONCATENATE("polttoaine ( ",VALUE(D31)," litraa Max)")</f>
        <v>polttoaine ( 93 litraa Max)</v>
      </c>
      <c r="C15" s="32"/>
      <c r="D15" s="75">
        <v>90</v>
      </c>
      <c r="E15" s="70"/>
      <c r="F15" s="70">
        <f>0.72*D15</f>
        <v>64.8</v>
      </c>
      <c r="G15" s="70"/>
      <c r="H15" s="81">
        <v>1.07</v>
      </c>
      <c r="I15" s="70"/>
      <c r="J15" s="71">
        <f>F15*H15</f>
        <v>69.336</v>
      </c>
      <c r="K15" s="11"/>
      <c r="L15" s="11"/>
      <c r="M15" s="63">
        <f t="shared" si="2"/>
        <v>755.8</v>
      </c>
      <c r="N15" s="64">
        <f t="shared" si="0"/>
        <v>0.8525350621857636</v>
      </c>
      <c r="O15" s="5">
        <f t="shared" si="3"/>
        <v>644.3460000000001</v>
      </c>
      <c r="P15" s="5"/>
      <c r="T15" s="2">
        <v>92</v>
      </c>
    </row>
    <row r="16" spans="2:20" ht="11.25">
      <c r="B16" s="12" t="s">
        <v>61</v>
      </c>
      <c r="C16" s="12"/>
      <c r="D16" s="22"/>
      <c r="E16" s="23"/>
      <c r="F16" s="24">
        <f>IF(M15=F6,0,M15)</f>
        <v>755.8</v>
      </c>
      <c r="G16" s="21"/>
      <c r="H16" s="25">
        <f>J16/(F16+(F16=0))</f>
        <v>0.8525350621857636</v>
      </c>
      <c r="I16" s="21"/>
      <c r="J16" s="36">
        <f>IF(SUM(J6:J15)=J6,0,SUM(J6:J15))</f>
        <v>644.3460000000001</v>
      </c>
      <c r="K16" s="5"/>
      <c r="L16" s="5"/>
      <c r="N16" s="5"/>
      <c r="O16" s="5"/>
      <c r="P16" s="5"/>
      <c r="T16" s="2">
        <v>94</v>
      </c>
    </row>
    <row r="17" spans="2:20" ht="11.25">
      <c r="B17" s="17">
        <f>IF(F16&gt;N19,"Varoitus: suurin lentomassa ylitetty","")</f>
      </c>
      <c r="H17" s="5"/>
      <c r="I17" s="5"/>
      <c r="J17" s="5"/>
      <c r="K17" s="5"/>
      <c r="L17" s="5"/>
      <c r="N17" s="5"/>
      <c r="O17" s="5"/>
      <c r="P17" s="5"/>
      <c r="T17" s="2">
        <v>96</v>
      </c>
    </row>
    <row r="18" spans="2:16" ht="11.25">
      <c r="B18" s="17">
        <f>IF(OR((D13&gt;M20),(D14&gt;N20)),"Varoitus: Liikaa matkatavaraa","")&amp;IF(D13&gt;M20," edessä","")&amp;IF(AND((D13&gt;M20),(D14&gt;N20))," &amp;","")&amp;IF(D14&gt;N20," takana","")</f>
      </c>
      <c r="H18" s="5"/>
      <c r="I18" s="5"/>
      <c r="J18" s="5"/>
      <c r="K18" s="5"/>
      <c r="L18" s="5"/>
      <c r="N18" s="5"/>
      <c r="O18" s="5"/>
      <c r="P18" s="5"/>
    </row>
    <row r="19" spans="2:16" ht="11.25">
      <c r="B19" s="17">
        <f>CONCATENATE((IF(N35,"Varoitus: P.P. liian takana!  ","")),IF(N36,"Varoitus: P.P. Liian edessä!",""))</f>
      </c>
      <c r="H19" s="5"/>
      <c r="I19" s="5"/>
      <c r="J19" s="5"/>
      <c r="K19" s="5"/>
      <c r="L19" s="5"/>
      <c r="N19" s="16">
        <f>D29</f>
        <v>757.5</v>
      </c>
      <c r="O19" s="15" t="s">
        <v>12</v>
      </c>
      <c r="P19" s="15"/>
    </row>
    <row r="20" spans="2:16" ht="11.25">
      <c r="B20" s="17">
        <f>IF(D15&gt;N21,"Virhe: maksimitankkaus!","")&amp;IF(AND(D15&lt;M21,D15&lt;&gt;0),"Varoitus; kovin vähän polttoainetta","")</f>
      </c>
      <c r="M20" s="2">
        <v>0</v>
      </c>
      <c r="N20" s="2">
        <f>D30</f>
        <v>18</v>
      </c>
      <c r="O20" s="15" t="s">
        <v>13</v>
      </c>
      <c r="P20" s="15"/>
    </row>
    <row r="21" spans="2:25" ht="11.25">
      <c r="B21" s="17"/>
      <c r="M21" s="2">
        <v>10</v>
      </c>
      <c r="N21" s="2">
        <f>D31</f>
        <v>93</v>
      </c>
      <c r="O21" s="15" t="s">
        <v>33</v>
      </c>
      <c r="P21" s="15"/>
      <c r="V21" s="37" t="s">
        <v>49</v>
      </c>
      <c r="W21" s="38"/>
      <c r="X21" s="38"/>
      <c r="Y21" s="40"/>
    </row>
    <row r="22" spans="2:25" ht="11.25">
      <c r="B22" s="17"/>
      <c r="M22" s="61">
        <f aca="true" t="shared" si="4" ref="M22:N24">Q7</f>
        <v>612.4</v>
      </c>
      <c r="N22" s="62">
        <f t="shared" si="4"/>
        <v>0.79</v>
      </c>
      <c r="O22" s="15" t="s">
        <v>14</v>
      </c>
      <c r="P22" s="15"/>
      <c r="V22" s="41"/>
      <c r="W22" s="42"/>
      <c r="X22" s="42"/>
      <c r="Y22" s="44"/>
    </row>
    <row r="23" spans="13:25" ht="11.25">
      <c r="M23" s="67">
        <f t="shared" si="4"/>
        <v>684.95</v>
      </c>
      <c r="N23" s="68">
        <f t="shared" si="4"/>
        <v>0.81</v>
      </c>
      <c r="O23" s="15" t="s">
        <v>15</v>
      </c>
      <c r="P23" s="15"/>
      <c r="V23" s="41"/>
      <c r="W23" s="42" t="s">
        <v>39</v>
      </c>
      <c r="X23" s="42" t="s">
        <v>40</v>
      </c>
      <c r="Y23" s="44" t="s">
        <v>41</v>
      </c>
    </row>
    <row r="24" spans="13:28" ht="11.25">
      <c r="M24" s="67">
        <f t="shared" si="4"/>
        <v>757.5</v>
      </c>
      <c r="N24" s="68">
        <f t="shared" si="4"/>
        <v>0.8300000000000001</v>
      </c>
      <c r="O24" s="15" t="s">
        <v>16</v>
      </c>
      <c r="P24" s="15"/>
      <c r="V24" s="41" t="s">
        <v>38</v>
      </c>
      <c r="W24" s="42">
        <f>-(M15-M14)/(N15-N14)</f>
        <v>-3177.5237284010655</v>
      </c>
      <c r="X24" s="42">
        <v>1</v>
      </c>
      <c r="Y24" s="44">
        <f>-N14*(M15-M14)/(N15-N14)+M14</f>
        <v>-1953.1503893891418</v>
      </c>
      <c r="AA24" s="2" t="s">
        <v>44</v>
      </c>
      <c r="AB24" s="2">
        <v>660</v>
      </c>
    </row>
    <row r="25" spans="13:28" ht="11.25">
      <c r="M25" s="2">
        <v>3600</v>
      </c>
      <c r="N25" s="2">
        <v>95</v>
      </c>
      <c r="O25" s="15" t="s">
        <v>17</v>
      </c>
      <c r="P25" s="15"/>
      <c r="V25" s="41" t="s">
        <v>42</v>
      </c>
      <c r="W25" s="42">
        <f>-(M23-M22)/(N23-N22)</f>
        <v>-3627.5</v>
      </c>
      <c r="X25" s="42">
        <v>1</v>
      </c>
      <c r="Y25" s="44">
        <f>-N22*(M23-M22)/(N23-N22)+M22</f>
        <v>-2253.3250000000003</v>
      </c>
      <c r="AA25" s="2" t="s">
        <v>46</v>
      </c>
      <c r="AB25" s="2">
        <f>(Y24-X24*AB24)/W24</f>
        <v>0.8223857987377117</v>
      </c>
    </row>
    <row r="26" spans="14:25" ht="11.25">
      <c r="N26" s="5">
        <f>MIN(N14:N15)</f>
        <v>0.8321418234442838</v>
      </c>
      <c r="O26" s="15" t="s">
        <v>35</v>
      </c>
      <c r="V26" s="41" t="s">
        <v>43</v>
      </c>
      <c r="W26" s="42"/>
      <c r="X26" s="42">
        <f>(Y25-W25*Y24/W24)</f>
        <v>-23.58459737700514</v>
      </c>
      <c r="Y26" s="44"/>
    </row>
    <row r="27" spans="22:25" ht="11.25">
      <c r="V27" s="41"/>
      <c r="W27" s="42"/>
      <c r="X27" s="42">
        <f>(X25-X24*W25/W24)</f>
        <v>-0.14161224590614263</v>
      </c>
      <c r="Y27" s="44"/>
    </row>
    <row r="28" spans="14:25" ht="11.25">
      <c r="N28" s="5">
        <f>MAX(N9:N15)</f>
        <v>0.8525350621857636</v>
      </c>
      <c r="O28" s="15" t="s">
        <v>18</v>
      </c>
      <c r="P28" s="15"/>
      <c r="V28" s="41"/>
      <c r="W28" s="37" t="s">
        <v>44</v>
      </c>
      <c r="X28" s="65">
        <f>X26/X27</f>
        <v>166.54348800199435</v>
      </c>
      <c r="Y28" s="44"/>
    </row>
    <row r="29" spans="2:25" ht="11.25">
      <c r="B29" s="37" t="s">
        <v>20</v>
      </c>
      <c r="C29" s="38"/>
      <c r="D29" s="39">
        <v>757.5</v>
      </c>
      <c r="E29" s="38" t="s">
        <v>21</v>
      </c>
      <c r="F29" s="40"/>
      <c r="N29" s="2" t="b">
        <f>N26&lt;N22</f>
        <v>0</v>
      </c>
      <c r="O29" s="15" t="s">
        <v>19</v>
      </c>
      <c r="P29" s="15"/>
      <c r="V29" s="41"/>
      <c r="W29" s="45" t="s">
        <v>45</v>
      </c>
      <c r="X29" s="66">
        <f>(Y24-X24*X28)/W24</f>
        <v>0.66708986574831</v>
      </c>
      <c r="Y29" s="44"/>
    </row>
    <row r="30" spans="2:25" ht="11.25">
      <c r="B30" s="41" t="s">
        <v>22</v>
      </c>
      <c r="C30" s="42"/>
      <c r="D30" s="43">
        <v>18</v>
      </c>
      <c r="E30" s="42" t="s">
        <v>21</v>
      </c>
      <c r="F30" s="44"/>
      <c r="N30" s="2" t="b">
        <f>X32</f>
        <v>0</v>
      </c>
      <c r="O30" s="15" t="s">
        <v>51</v>
      </c>
      <c r="V30" s="41"/>
      <c r="W30" s="42" t="s">
        <v>47</v>
      </c>
      <c r="X30" s="42" t="b">
        <f>AND(X29&gt;R7,X29&lt;R8)</f>
        <v>0</v>
      </c>
      <c r="Y30" s="44"/>
    </row>
    <row r="31" spans="2:25" ht="11.25">
      <c r="B31" s="45" t="s">
        <v>23</v>
      </c>
      <c r="C31" s="3"/>
      <c r="D31" s="46">
        <v>93</v>
      </c>
      <c r="E31" s="3" t="s">
        <v>24</v>
      </c>
      <c r="F31" s="47"/>
      <c r="N31" s="2" t="b">
        <f>X44</f>
        <v>0</v>
      </c>
      <c r="O31" s="15" t="s">
        <v>53</v>
      </c>
      <c r="V31" s="41"/>
      <c r="W31" s="42" t="s">
        <v>48</v>
      </c>
      <c r="X31" s="42" t="b">
        <f>N15&lt;X29</f>
        <v>0</v>
      </c>
      <c r="Y31" s="44"/>
    </row>
    <row r="32" spans="2:25" ht="11.25">
      <c r="B32" s="37" t="s">
        <v>25</v>
      </c>
      <c r="C32" s="38"/>
      <c r="D32" s="38"/>
      <c r="E32" s="38"/>
      <c r="F32" s="40"/>
      <c r="N32" s="2" t="b">
        <f>N28&gt;R12</f>
        <v>0</v>
      </c>
      <c r="O32" s="15" t="s">
        <v>34</v>
      </c>
      <c r="V32" s="45"/>
      <c r="W32" s="3" t="s">
        <v>50</v>
      </c>
      <c r="X32" s="3" t="b">
        <f>AND(X31,X30)</f>
        <v>0</v>
      </c>
      <c r="Y32" s="47"/>
    </row>
    <row r="33" spans="2:6" ht="11.25">
      <c r="B33" s="48" t="s">
        <v>26</v>
      </c>
      <c r="C33" s="42"/>
      <c r="D33" s="43">
        <v>790</v>
      </c>
      <c r="E33" s="42" t="s">
        <v>27</v>
      </c>
      <c r="F33" s="44"/>
    </row>
    <row r="34" spans="2:22" ht="11.25">
      <c r="B34" s="48" t="s">
        <v>28</v>
      </c>
      <c r="C34" s="42"/>
      <c r="D34" s="43">
        <v>830</v>
      </c>
      <c r="E34" s="42" t="s">
        <v>27</v>
      </c>
      <c r="F34" s="44"/>
      <c r="V34" s="2" t="s">
        <v>52</v>
      </c>
    </row>
    <row r="35" spans="2:25" ht="11.25">
      <c r="B35" s="48" t="s">
        <v>29</v>
      </c>
      <c r="C35" s="42"/>
      <c r="D35" s="43">
        <v>612.4</v>
      </c>
      <c r="E35" s="42" t="s">
        <v>21</v>
      </c>
      <c r="F35" s="44"/>
      <c r="N35" s="2" t="b">
        <f>N32</f>
        <v>0</v>
      </c>
      <c r="O35" s="2" t="s">
        <v>36</v>
      </c>
      <c r="P35" s="15"/>
      <c r="V35" s="41"/>
      <c r="W35" s="42" t="s">
        <v>39</v>
      </c>
      <c r="X35" s="42" t="s">
        <v>40</v>
      </c>
      <c r="Y35" s="44" t="s">
        <v>41</v>
      </c>
    </row>
    <row r="36" spans="2:25" ht="11.25">
      <c r="B36" s="48" t="s">
        <v>30</v>
      </c>
      <c r="C36" s="42"/>
      <c r="D36" s="43">
        <v>930</v>
      </c>
      <c r="E36" s="42" t="s">
        <v>27</v>
      </c>
      <c r="F36" s="44"/>
      <c r="N36" s="2" t="b">
        <f>OR(N29,N30,N31)</f>
        <v>0</v>
      </c>
      <c r="O36" s="2" t="s">
        <v>37</v>
      </c>
      <c r="P36" s="15"/>
      <c r="V36" s="41" t="s">
        <v>38</v>
      </c>
      <c r="W36" s="42">
        <f>W24</f>
        <v>-3177.5237284010655</v>
      </c>
      <c r="X36" s="42">
        <v>1</v>
      </c>
      <c r="Y36" s="44">
        <f>Y24</f>
        <v>-1953.1503893891418</v>
      </c>
    </row>
    <row r="37" spans="2:25" ht="11.25">
      <c r="B37" s="45"/>
      <c r="C37" s="3"/>
      <c r="D37" s="3"/>
      <c r="E37" s="3"/>
      <c r="F37" s="47"/>
      <c r="V37" s="41" t="s">
        <v>42</v>
      </c>
      <c r="W37" s="42">
        <f>-(M24-M23)/(N24-N23)</f>
        <v>-3627.4999999999945</v>
      </c>
      <c r="X37" s="42">
        <v>1</v>
      </c>
      <c r="Y37" s="44">
        <f>-N23*(M24-M23)/(N24-N23)+M23</f>
        <v>-2253.3249999999953</v>
      </c>
    </row>
    <row r="38" spans="2:25" ht="11.25">
      <c r="B38" s="49" t="s">
        <v>31</v>
      </c>
      <c r="V38" s="41" t="s">
        <v>43</v>
      </c>
      <c r="W38" s="42"/>
      <c r="X38" s="42">
        <f>(Y37-W37*Y36/W36)</f>
        <v>-23.584597377003774</v>
      </c>
      <c r="Y38" s="44"/>
    </row>
    <row r="39" spans="22:25" ht="11.25">
      <c r="V39" s="41"/>
      <c r="W39" s="42"/>
      <c r="X39" s="42">
        <f>(X37-X36*W37/W36)</f>
        <v>-0.14161224590614085</v>
      </c>
      <c r="Y39" s="44"/>
    </row>
    <row r="40" spans="22:25" ht="11.25">
      <c r="V40" s="41"/>
      <c r="W40" s="37" t="s">
        <v>44</v>
      </c>
      <c r="X40" s="65">
        <f>X38/X39</f>
        <v>166.54348800198682</v>
      </c>
      <c r="Y40" s="44"/>
    </row>
    <row r="41" spans="22:25" ht="11.25">
      <c r="V41" s="41"/>
      <c r="W41" s="45" t="s">
        <v>45</v>
      </c>
      <c r="X41" s="66">
        <f>(Y36-X36*X40)/W36</f>
        <v>0.6670898657483076</v>
      </c>
      <c r="Y41" s="44"/>
    </row>
    <row r="42" spans="22:25" ht="11.25">
      <c r="V42" s="41"/>
      <c r="W42" s="42" t="s">
        <v>47</v>
      </c>
      <c r="X42" s="42" t="b">
        <f>AND(X41&gt;R8,X41&lt;R9)</f>
        <v>0</v>
      </c>
      <c r="Y42" s="44"/>
    </row>
    <row r="43" spans="22:25" ht="11.25">
      <c r="V43" s="41"/>
      <c r="W43" s="42" t="s">
        <v>48</v>
      </c>
      <c r="X43" s="42" t="b">
        <f>N15&lt;X41</f>
        <v>0</v>
      </c>
      <c r="Y43" s="44"/>
    </row>
    <row r="44" spans="22:25" ht="11.25">
      <c r="V44" s="45"/>
      <c r="W44" s="3" t="s">
        <v>50</v>
      </c>
      <c r="X44" s="3" t="b">
        <f>AND(X43,X42)</f>
        <v>0</v>
      </c>
      <c r="Y44" s="47"/>
    </row>
  </sheetData>
  <sheetProtection sheet="1" objects="1" scenarios="1"/>
  <printOptions horizontalCentered="1"/>
  <pageMargins left="0" right="0" top="0.56" bottom="0.17" header="0.5" footer="0.5"/>
  <pageSetup fitToHeight="1" fitToWidth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Lentsikan painopiste</dc:title>
  <dc:subject>graafinen esitys</dc:subject>
  <dc:creator>Aki Suokas</dc:creator>
  <cp:keywords/>
  <dc:description/>
  <cp:lastModifiedBy>Aki</cp:lastModifiedBy>
  <cp:lastPrinted>1999-07-01T02:44:51Z</cp:lastPrinted>
  <dcterms:created xsi:type="dcterms:W3CDTF">2000-02-02T20:17:47Z</dcterms:created>
  <dcterms:modified xsi:type="dcterms:W3CDTF">2002-11-04T15:51:34Z</dcterms:modified>
  <cp:category/>
  <cp:version/>
  <cp:contentType/>
  <cp:contentStatus/>
</cp:coreProperties>
</file>